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workbookProtection lockStructure="1"/>
  <bookViews>
    <workbookView xWindow="120" yWindow="48" windowWidth="12120" windowHeight="9120" activeTab="0"/>
  </bookViews>
  <sheets>
    <sheet name="Calculate" sheetId="1" r:id="rId1"/>
    <sheet name="Back" sheetId="2" r:id="rId2"/>
  </sheets>
  <definedNames/>
  <calcPr fullCalcOnLoad="1"/>
</workbook>
</file>

<file path=xl/sharedStrings.xml><?xml version="1.0" encoding="utf-8"?>
<sst xmlns="http://schemas.openxmlformats.org/spreadsheetml/2006/main" count="62" uniqueCount="58">
  <si>
    <t>Date, time</t>
  </si>
  <si>
    <t>Author: jjlammi@netti.fi</t>
  </si>
  <si>
    <t>Input Date</t>
  </si>
  <si>
    <t>Give date</t>
  </si>
  <si>
    <t>New improved algorithm!</t>
  </si>
  <si>
    <t>Day of Year</t>
  </si>
  <si>
    <t>Daylight saving</t>
  </si>
  <si>
    <t>1= used</t>
  </si>
  <si>
    <t>1= assumed</t>
  </si>
  <si>
    <t>City</t>
  </si>
  <si>
    <t>Latitude</t>
  </si>
  <si>
    <t>Longitude</t>
  </si>
  <si>
    <t>Day- length</t>
  </si>
  <si>
    <t>Sunrise</t>
  </si>
  <si>
    <t>Sunset</t>
  </si>
  <si>
    <t>fo, hour angle</t>
  </si>
  <si>
    <t>London</t>
  </si>
  <si>
    <t>Toronto</t>
  </si>
  <si>
    <t>Tokyo</t>
  </si>
  <si>
    <t xml:space="preserve">     fo = tan(dekl+SunDia/2)*tan(lat);</t>
  </si>
  <si>
    <t xml:space="preserve">     Rise = 12.0 - fo/15.0 + tzv - lon/15.0 + SummerTime + refraction;</t>
  </si>
  <si>
    <t>Today</t>
  </si>
  <si>
    <t>Month</t>
  </si>
  <si>
    <t>Begin of Year</t>
  </si>
  <si>
    <t>rads</t>
  </si>
  <si>
    <t>Time equation</t>
  </si>
  <si>
    <t>minutes</t>
  </si>
  <si>
    <t>oblique</t>
  </si>
  <si>
    <t>oikein</t>
  </si>
  <si>
    <t>cos(oblique)</t>
  </si>
  <si>
    <t>Declination</t>
  </si>
  <si>
    <t>degrees</t>
  </si>
  <si>
    <t>sin(lambda)</t>
  </si>
  <si>
    <t>radians</t>
  </si>
  <si>
    <t>cos(lambda)</t>
  </si>
  <si>
    <t>1= yes</t>
  </si>
  <si>
    <t>tan(alpha)</t>
  </si>
  <si>
    <t>alpha</t>
  </si>
  <si>
    <t>year</t>
  </si>
  <si>
    <t>month</t>
  </si>
  <si>
    <t>day</t>
  </si>
  <si>
    <t>L</t>
  </si>
  <si>
    <t>Julian day</t>
  </si>
  <si>
    <t>korj</t>
  </si>
  <si>
    <t>JD2000</t>
  </si>
  <si>
    <t>timeq</t>
  </si>
  <si>
    <t>difference</t>
  </si>
  <si>
    <t>väärin</t>
  </si>
  <si>
    <t>lambda</t>
  </si>
  <si>
    <t>Time- zone*</t>
  </si>
  <si>
    <t>*Enter 0 
in Time Zone to get GMT</t>
  </si>
  <si>
    <t>*Enter 0 for daylight saving for GMT calculation</t>
  </si>
  <si>
    <t>GMT Noon
(or local noon)</t>
  </si>
  <si>
    <t>*Station</t>
  </si>
  <si>
    <t>Sun rise
(in GMT for Station)</t>
  </si>
  <si>
    <t>Sun set
(in GMT for station)</t>
  </si>
  <si>
    <t>* Enter the lat and longs of the station, use 0 for daylight saving and 0 for Time Zone to get calculations in GMT</t>
  </si>
  <si>
    <t>Examples are given for other cities (local time).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</si>
</sst>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&quot; mk&quot;;\-#,##0&quot; mk&quot;"/>
    <numFmt numFmtId="173" formatCode="#,##0&quot; mk&quot;;[Red]\-#,##0&quot; mk&quot;"/>
    <numFmt numFmtId="174" formatCode="#,##0.00&quot; mk&quot;;\-#,##0.00&quot; mk&quot;"/>
    <numFmt numFmtId="175" formatCode="#,##0.00&quot; mk&quot;;[Red]\-#,##0.00&quot; mk&quot;"/>
    <numFmt numFmtId="176" formatCode="_-* #,##0&quot; mk&quot;_-;\-* #,##0&quot; mk&quot;_-;_-* &quot;-&quot;&quot; mk&quot;_-;_-@_-"/>
    <numFmt numFmtId="177" formatCode="_-* #,##0_ _m_k_-;\-* #,##0_ _m_k_-;_-* &quot;-&quot;_ _m_k_-;_-@_-"/>
    <numFmt numFmtId="178" formatCode="_-* #,##0.00&quot; mk&quot;_-;\-* #,##0.00&quot; mk&quot;_-;_-* &quot;-&quot;??&quot; mk&quot;_-;_-@_-"/>
    <numFmt numFmtId="179" formatCode="_-* #,##0.00_ _m_k_-;\-* #,##0.00_ _m_k_-;_-* &quot;-&quot;??_ _m_k_-;_-@_-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"/>
  </numFmts>
  <fonts count="1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2"/>
      <name val="Geneva"/>
      <family val="0"/>
    </font>
    <font>
      <sz val="12"/>
      <color indexed="10"/>
      <name val="Geneva"/>
      <family val="0"/>
    </font>
    <font>
      <sz val="12"/>
      <color indexed="20"/>
      <name val="Geneva"/>
      <family val="0"/>
    </font>
    <font>
      <b/>
      <sz val="12"/>
      <name val="Geneva"/>
      <family val="0"/>
    </font>
    <font>
      <b/>
      <sz val="10"/>
      <color indexed="20"/>
      <name val="Geneva"/>
      <family val="0"/>
    </font>
    <font>
      <sz val="12"/>
      <color indexed="17"/>
      <name val="Geneva"/>
      <family val="0"/>
    </font>
    <font>
      <b/>
      <sz val="10"/>
      <color indexed="12"/>
      <name val="Geneva"/>
      <family val="0"/>
    </font>
    <font>
      <sz val="10"/>
      <color indexed="36"/>
      <name val="Geneva"/>
      <family val="0"/>
    </font>
    <font>
      <sz val="10"/>
      <color indexed="10"/>
      <name val="Geneva"/>
      <family val="0"/>
    </font>
    <font>
      <sz val="12"/>
      <color indexed="39"/>
      <name val="Geneva"/>
      <family val="0"/>
    </font>
    <font>
      <sz val="10"/>
      <color indexed="50"/>
      <name val="Geneva"/>
      <family val="0"/>
    </font>
    <font>
      <sz val="10"/>
      <color indexed="12"/>
      <name val="Geneva"/>
      <family val="0"/>
    </font>
    <font>
      <b/>
      <sz val="11"/>
      <name val="Geneva"/>
      <family val="0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 quotePrefix="1">
      <alignment/>
    </xf>
    <xf numFmtId="2" fontId="0" fillId="0" borderId="0" xfId="0" applyNumberFormat="1" applyAlignment="1">
      <alignment/>
    </xf>
    <xf numFmtId="0" fontId="0" fillId="0" borderId="0" xfId="0" applyAlignment="1" quotePrefix="1">
      <alignment/>
    </xf>
    <xf numFmtId="21" fontId="0" fillId="0" borderId="0" xfId="0" applyNumberFormat="1" applyAlignment="1">
      <alignment/>
    </xf>
    <xf numFmtId="21" fontId="5" fillId="0" borderId="0" xfId="0" applyNumberFormat="1" applyFont="1" applyAlignment="1">
      <alignment/>
    </xf>
    <xf numFmtId="21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1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21" fontId="5" fillId="0" borderId="0" xfId="0" applyNumberFormat="1" applyFont="1" applyBorder="1" applyAlignment="1">
      <alignment/>
    </xf>
    <xf numFmtId="21" fontId="6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2" fontId="0" fillId="0" borderId="2" xfId="0" applyNumberFormat="1" applyBorder="1" applyAlignment="1">
      <alignment/>
    </xf>
    <xf numFmtId="0" fontId="4" fillId="0" borderId="3" xfId="0" applyFont="1" applyBorder="1" applyAlignment="1">
      <alignment/>
    </xf>
    <xf numFmtId="21" fontId="5" fillId="0" borderId="4" xfId="0" applyNumberFormat="1" applyFont="1" applyBorder="1" applyAlignment="1">
      <alignment/>
    </xf>
    <xf numFmtId="21" fontId="6" fillId="0" borderId="4" xfId="0" applyNumberFormat="1" applyFont="1" applyBorder="1" applyAlignment="1">
      <alignment/>
    </xf>
    <xf numFmtId="2" fontId="0" fillId="0" borderId="4" xfId="0" applyNumberFormat="1" applyBorder="1" applyAlignment="1">
      <alignment/>
    </xf>
    <xf numFmtId="0" fontId="0" fillId="0" borderId="4" xfId="0" applyBorder="1" applyAlignment="1">
      <alignment horizontal="center"/>
    </xf>
    <xf numFmtId="2" fontId="0" fillId="0" borderId="5" xfId="0" applyNumberFormat="1" applyBorder="1" applyAlignment="1">
      <alignment/>
    </xf>
    <xf numFmtId="0" fontId="7" fillId="0" borderId="6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2" borderId="1" xfId="0" applyFont="1" applyFill="1" applyBorder="1" applyAlignment="1" applyProtection="1">
      <alignment/>
      <protection locked="0"/>
    </xf>
    <xf numFmtId="21" fontId="5" fillId="2" borderId="0" xfId="0" applyNumberFormat="1" applyFont="1" applyFill="1" applyBorder="1" applyAlignment="1" applyProtection="1">
      <alignment/>
      <protection locked="0"/>
    </xf>
    <xf numFmtId="21" fontId="6" fillId="2" borderId="0" xfId="0" applyNumberFormat="1" applyFont="1" applyFill="1" applyBorder="1" applyAlignment="1" applyProtection="1">
      <alignment/>
      <protection locked="0"/>
    </xf>
    <xf numFmtId="2" fontId="0" fillId="2" borderId="0" xfId="0" applyNumberFormat="1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11" fillId="3" borderId="0" xfId="0" applyFont="1" applyFill="1" applyBorder="1" applyAlignment="1">
      <alignment/>
    </xf>
    <xf numFmtId="14" fontId="0" fillId="3" borderId="0" xfId="0" applyNumberFormat="1" applyFont="1" applyFill="1" applyBorder="1" applyAlignment="1">
      <alignment/>
    </xf>
    <xf numFmtId="14" fontId="10" fillId="2" borderId="0" xfId="0" applyNumberFormat="1" applyFont="1" applyFill="1" applyAlignment="1" applyProtection="1">
      <alignment/>
      <protection locked="0"/>
    </xf>
    <xf numFmtId="0" fontId="10" fillId="2" borderId="0" xfId="0" applyFont="1" applyFill="1" applyAlignment="1" applyProtection="1">
      <alignment/>
      <protection locked="0"/>
    </xf>
    <xf numFmtId="22" fontId="1" fillId="4" borderId="0" xfId="0" applyNumberFormat="1" applyFont="1" applyFill="1" applyAlignment="1">
      <alignment/>
    </xf>
    <xf numFmtId="183" fontId="0" fillId="0" borderId="0" xfId="0" applyNumberFormat="1" applyAlignment="1">
      <alignment/>
    </xf>
    <xf numFmtId="185" fontId="0" fillId="0" borderId="0" xfId="0" applyNumberFormat="1" applyAlignment="1">
      <alignment/>
    </xf>
    <xf numFmtId="0" fontId="0" fillId="5" borderId="0" xfId="0" applyFill="1" applyAlignment="1">
      <alignment/>
    </xf>
    <xf numFmtId="0" fontId="12" fillId="0" borderId="0" xfId="0" applyFont="1" applyAlignment="1">
      <alignment/>
    </xf>
    <xf numFmtId="0" fontId="13" fillId="5" borderId="0" xfId="0" applyFont="1" applyFill="1" applyAlignment="1">
      <alignment/>
    </xf>
    <xf numFmtId="0" fontId="0" fillId="0" borderId="0" xfId="0" applyAlignment="1">
      <alignment horizontal="center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/>
    </xf>
    <xf numFmtId="21" fontId="15" fillId="0" borderId="0" xfId="0" applyNumberFormat="1" applyFont="1" applyAlignment="1">
      <alignment/>
    </xf>
    <xf numFmtId="0" fontId="16" fillId="0" borderId="7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workbookViewId="0" topLeftCell="A1">
      <selection activeCell="B16" sqref="B16"/>
    </sheetView>
  </sheetViews>
  <sheetFormatPr defaultColWidth="9.00390625" defaultRowHeight="12.75"/>
  <cols>
    <col min="1" max="1" width="14.50390625" style="0" customWidth="1"/>
    <col min="2" max="2" width="17.125" style="0" customWidth="1"/>
    <col min="3" max="3" width="12.00390625" style="0" customWidth="1"/>
    <col min="4" max="4" width="12.375" style="0" customWidth="1"/>
    <col min="5" max="5" width="8.50390625" style="0" customWidth="1"/>
    <col min="6" max="6" width="10.625" style="0" customWidth="1"/>
    <col min="7" max="7" width="6.50390625" style="0" customWidth="1"/>
    <col min="8" max="8" width="7.375" style="0" customWidth="1"/>
    <col min="9" max="9" width="6.375" style="0" hidden="1" customWidth="1"/>
    <col min="10" max="10" width="0" style="0" hidden="1" customWidth="1"/>
    <col min="11" max="11" width="4.875" style="0" hidden="1" customWidth="1"/>
    <col min="12" max="12" width="0" style="0" hidden="1" customWidth="1"/>
    <col min="13" max="13" width="5.50390625" style="0" hidden="1" customWidth="1"/>
    <col min="14" max="14" width="0" style="0" hidden="1" customWidth="1"/>
    <col min="16" max="16384" width="11.50390625" style="0" customWidth="1"/>
  </cols>
  <sheetData>
    <row r="1" spans="1:7" ht="12.75">
      <c r="A1" s="9" t="s">
        <v>0</v>
      </c>
      <c r="B1" s="39">
        <f ca="1">NOW()</f>
        <v>36351.60046712963</v>
      </c>
      <c r="E1" s="35" t="s">
        <v>1</v>
      </c>
      <c r="F1" s="36"/>
      <c r="G1" s="35"/>
    </row>
    <row r="2" spans="3:6" ht="12.75">
      <c r="C2" s="1"/>
      <c r="F2" s="2"/>
    </row>
    <row r="3" spans="1:9" ht="15">
      <c r="A3" s="9" t="s">
        <v>2</v>
      </c>
      <c r="B3" s="37">
        <v>36344</v>
      </c>
      <c r="C3" s="10" t="s">
        <v>3</v>
      </c>
      <c r="E3" s="44" t="s">
        <v>4</v>
      </c>
      <c r="F3" s="3"/>
      <c r="G3" s="4"/>
      <c r="I3" s="42"/>
    </row>
    <row r="4" spans="1:7" ht="15">
      <c r="A4" s="8" t="s">
        <v>5</v>
      </c>
      <c r="B4" s="13">
        <f>IF(B3=0,Back!E1-Back!E2+1,B3-Back!E2+1)</f>
        <v>185</v>
      </c>
      <c r="F4" s="3"/>
      <c r="G4" s="4"/>
    </row>
    <row r="5" ht="12.75">
      <c r="E5" s="43"/>
    </row>
    <row r="6" spans="1:15" ht="12.75">
      <c r="A6" s="9" t="s">
        <v>6</v>
      </c>
      <c r="B6" s="38">
        <v>0</v>
      </c>
      <c r="C6" s="10" t="s">
        <v>7</v>
      </c>
      <c r="E6" s="47" t="s">
        <v>51</v>
      </c>
      <c r="F6" s="47"/>
      <c r="G6" s="47"/>
      <c r="H6" s="47"/>
      <c r="I6" s="47"/>
      <c r="J6" s="47"/>
      <c r="K6" s="47"/>
      <c r="L6" s="47"/>
      <c r="M6" s="48"/>
      <c r="N6" s="47"/>
      <c r="O6" s="47"/>
    </row>
    <row r="7" spans="1:13" ht="12.75">
      <c r="A7" s="9" t="s">
        <v>6</v>
      </c>
      <c r="B7" s="9">
        <f>Back!B11</f>
        <v>0</v>
      </c>
      <c r="C7" s="10" t="s">
        <v>8</v>
      </c>
      <c r="M7" s="5"/>
    </row>
    <row r="8" ht="13.5" thickBot="1"/>
    <row r="9" spans="2:16" ht="54" thickBot="1">
      <c r="B9" s="26" t="s">
        <v>9</v>
      </c>
      <c r="C9" s="49" t="s">
        <v>54</v>
      </c>
      <c r="D9" s="49" t="s">
        <v>55</v>
      </c>
      <c r="E9" s="27" t="s">
        <v>10</v>
      </c>
      <c r="F9" s="27" t="s">
        <v>11</v>
      </c>
      <c r="G9" s="28" t="s">
        <v>49</v>
      </c>
      <c r="H9" s="29" t="s">
        <v>12</v>
      </c>
      <c r="J9" t="s">
        <v>13</v>
      </c>
      <c r="L9" t="s">
        <v>14</v>
      </c>
      <c r="N9" t="s">
        <v>15</v>
      </c>
      <c r="O9" s="45" t="s">
        <v>52</v>
      </c>
      <c r="P9" s="46" t="s">
        <v>50</v>
      </c>
    </row>
    <row r="10" spans="2:15" ht="15">
      <c r="B10" s="30" t="s">
        <v>53</v>
      </c>
      <c r="C10" s="31">
        <f>hrmnss(J10)</f>
        <v>1.356087962962963</v>
      </c>
      <c r="D10" s="32">
        <f>hrmnss(L10)</f>
        <v>1.9999074074074075</v>
      </c>
      <c r="E10" s="33">
        <v>45</v>
      </c>
      <c r="F10" s="33">
        <v>-63</v>
      </c>
      <c r="G10" s="34">
        <v>0</v>
      </c>
      <c r="H10" s="19">
        <f>24*N10/PI()</f>
        <v>15.451626903802444</v>
      </c>
      <c r="J10">
        <f>RiseSet(-N10,G10,F10,B$7,Back!B$7)</f>
        <v>32.54637085650042</v>
      </c>
      <c r="L10">
        <f>RiseSet(N10,G10,F10,B$7,Back!B$7)</f>
        <v>47.997997532038646</v>
      </c>
      <c r="N10">
        <f>f0(Back!B$10,E10)</f>
        <v>2.0226132319581733</v>
      </c>
      <c r="O10" s="5">
        <f>(D10+C10)/2</f>
        <v>1.6779976851851852</v>
      </c>
    </row>
    <row r="11" spans="2:15" ht="15">
      <c r="B11" s="14" t="s">
        <v>16</v>
      </c>
      <c r="C11" s="15">
        <f>hrmnss(J11)</f>
        <v>1.1628472222222221</v>
      </c>
      <c r="D11" s="16">
        <f>hrmnss(L11)</f>
        <v>1.8440972222222223</v>
      </c>
      <c r="E11" s="17">
        <v>51</v>
      </c>
      <c r="F11" s="17">
        <v>-0.17</v>
      </c>
      <c r="G11" s="18">
        <v>0</v>
      </c>
      <c r="H11" s="19">
        <f>24*N11/PI()</f>
        <v>16.350170633142106</v>
      </c>
      <c r="J11">
        <f>RiseSet(-N11,G11,F11,B$7,Back!B$7)</f>
        <v>27.908432331800938</v>
      </c>
      <c r="L11">
        <f>RiseSet(N11,G11,F11,B$7,Back!B$7)</f>
        <v>44.25860272340479</v>
      </c>
      <c r="N11">
        <f>f0(Back!B$10,E11)</f>
        <v>2.1402323310841176</v>
      </c>
      <c r="O11" s="5">
        <f>(D11+C11)/2</f>
        <v>1.5034722222222223</v>
      </c>
    </row>
    <row r="12" spans="2:15" ht="15">
      <c r="B12" s="14" t="s">
        <v>17</v>
      </c>
      <c r="C12" s="15">
        <f>hrmnss(J12)</f>
        <v>1.1967824074074074</v>
      </c>
      <c r="D12" s="16">
        <f>hrmnss(L12)</f>
        <v>1.833773148148148</v>
      </c>
      <c r="E12" s="17">
        <v>43.7</v>
      </c>
      <c r="F12" s="17">
        <v>-79.42</v>
      </c>
      <c r="G12" s="18">
        <v>-5</v>
      </c>
      <c r="H12" s="19">
        <f>24*N12/PI()</f>
        <v>15.287933713889027</v>
      </c>
      <c r="J12">
        <f>RiseSet(-N12,G12,F12,B$7,Back!B$7)</f>
        <v>28.72288411691469</v>
      </c>
      <c r="L12">
        <f>RiseSet(N12,G12,F12,B$7,Back!B$7)</f>
        <v>44.01081760495771</v>
      </c>
      <c r="N12">
        <f>f0(Back!B$10,E12)</f>
        <v>2.0011858435050622</v>
      </c>
      <c r="O12" s="5">
        <f>(D12+C12)/2</f>
        <v>1.5152777777777777</v>
      </c>
    </row>
    <row r="13" spans="2:15" ht="15" thickBot="1">
      <c r="B13" s="20" t="s">
        <v>18</v>
      </c>
      <c r="C13" s="21">
        <f>hrmnss(J13)</f>
        <v>1.1890740740740742</v>
      </c>
      <c r="D13" s="22">
        <f>hrmnss(L13)</f>
        <v>1.7905439814814814</v>
      </c>
      <c r="E13" s="23">
        <v>35.67</v>
      </c>
      <c r="F13" s="23">
        <v>139.75</v>
      </c>
      <c r="G13" s="24">
        <v>9</v>
      </c>
      <c r="H13" s="25">
        <f>24*N13/PI()</f>
        <v>14.435096808657333</v>
      </c>
      <c r="J13">
        <f>RiseSet(-N13,G13,F13,B$7,Back!B$7)</f>
        <v>28.537969229897797</v>
      </c>
      <c r="L13">
        <f>RiseSet(N13,G13,F13,B$7,Back!B$7)</f>
        <v>42.973065825307934</v>
      </c>
      <c r="N13">
        <f>f0(Back!B$10,E13)</f>
        <v>1.8895497536639727</v>
      </c>
      <c r="O13" s="5">
        <f>(D13+C13)/2</f>
        <v>1.4898090277777778</v>
      </c>
    </row>
    <row r="14" spans="3:8" ht="15">
      <c r="C14" s="6"/>
      <c r="D14" s="7"/>
      <c r="H14" s="3"/>
    </row>
    <row r="15" spans="2:8" ht="15">
      <c r="B15" t="s">
        <v>56</v>
      </c>
      <c r="C15" s="6"/>
      <c r="D15" s="7"/>
      <c r="H15" s="3"/>
    </row>
    <row r="16" spans="2:8" ht="15">
      <c r="B16" t="s">
        <v>57</v>
      </c>
      <c r="C16" s="6"/>
      <c r="D16" s="7"/>
      <c r="H16" s="3"/>
    </row>
    <row r="18" ht="12.75">
      <c r="B18" t="s">
        <v>19</v>
      </c>
    </row>
    <row r="19" ht="12.75">
      <c r="B19" t="s">
        <v>20</v>
      </c>
    </row>
    <row r="20" ht="12.75">
      <c r="P20">
        <v>0</v>
      </c>
    </row>
    <row r="25" ht="12.75">
      <c r="F25" s="5"/>
    </row>
  </sheetData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A20" sqref="A20"/>
    </sheetView>
  </sheetViews>
  <sheetFormatPr defaultColWidth="9.00390625" defaultRowHeight="12.75"/>
  <cols>
    <col min="1" max="1" width="11.625" style="0" customWidth="1"/>
    <col min="2" max="16384" width="11.50390625" style="0" customWidth="1"/>
  </cols>
  <sheetData>
    <row r="1" spans="4:9" ht="12.75">
      <c r="D1" t="s">
        <v>21</v>
      </c>
      <c r="E1" s="11">
        <f ca="1">TODAY()</f>
        <v>36351</v>
      </c>
      <c r="H1" t="s">
        <v>22</v>
      </c>
      <c r="I1">
        <f>MONTH(IF(Calculate!B3=0,E1,Calculate!B3))</f>
        <v>7</v>
      </c>
    </row>
    <row r="2" spans="2:5" ht="12.75">
      <c r="B2" s="3"/>
      <c r="C2" s="4"/>
      <c r="D2" t="s">
        <v>23</v>
      </c>
      <c r="E2" s="2">
        <f>DATE(YEAR(E1),1,1)</f>
        <v>36160</v>
      </c>
    </row>
    <row r="3" spans="2:3" ht="12.75">
      <c r="B3" s="3"/>
      <c r="C3" s="4"/>
    </row>
    <row r="4" spans="3:5" ht="12.75">
      <c r="C4" s="41"/>
      <c r="D4" t="s">
        <v>24</v>
      </c>
      <c r="E4">
        <f>PI()/180</f>
        <v>0.017453292519943295</v>
      </c>
    </row>
    <row r="6" ht="12.75">
      <c r="B6" s="40"/>
    </row>
    <row r="7" spans="1:6" ht="12.75">
      <c r="A7" t="s">
        <v>25</v>
      </c>
      <c r="B7" s="40">
        <f>timeq(B19)</f>
        <v>1444.331051656172</v>
      </c>
      <c r="C7" t="s">
        <v>26</v>
      </c>
      <c r="D7" t="s">
        <v>27</v>
      </c>
      <c r="E7">
        <f>oblique(B19)</f>
        <v>0.40907844175511104</v>
      </c>
      <c r="F7" t="s">
        <v>28</v>
      </c>
    </row>
    <row r="8" spans="2:10" ht="12.75">
      <c r="B8" s="40"/>
      <c r="D8" t="s">
        <v>29</v>
      </c>
      <c r="E8">
        <f>COS(E7)</f>
        <v>0.9174877750359144</v>
      </c>
      <c r="G8" s="4"/>
      <c r="H8" s="4"/>
      <c r="I8" s="4"/>
      <c r="J8" s="4"/>
    </row>
    <row r="9" spans="1:10" ht="12.75">
      <c r="A9" t="s">
        <v>30</v>
      </c>
      <c r="B9">
        <f>180*B10/PI()</f>
        <v>22.88612066367662</v>
      </c>
      <c r="C9" t="s">
        <v>31</v>
      </c>
      <c r="D9" t="s">
        <v>32</v>
      </c>
      <c r="E9">
        <f>SIN(B22)</f>
        <v>0.9777174696632589</v>
      </c>
      <c r="G9" s="4"/>
      <c r="H9" s="4"/>
      <c r="I9" s="4"/>
      <c r="J9" s="4"/>
    </row>
    <row r="10" spans="2:10" ht="12.75">
      <c r="B10">
        <f>delta(B19)</f>
        <v>0.39943815858986687</v>
      </c>
      <c r="C10" s="4" t="s">
        <v>33</v>
      </c>
      <c r="D10" t="s">
        <v>34</v>
      </c>
      <c r="E10">
        <f>COS(B22)</f>
        <v>-0.2099251045379622</v>
      </c>
      <c r="G10" s="4"/>
      <c r="H10" s="4"/>
      <c r="I10" s="4"/>
      <c r="J10" s="4"/>
    </row>
    <row r="11" spans="1:9" ht="12.75">
      <c r="A11" s="12" t="s">
        <v>6</v>
      </c>
      <c r="B11" s="12">
        <f>(IF(AND((I1&gt;3),(I1&lt;10)),1,0))*Calculate!B6</f>
        <v>0</v>
      </c>
      <c r="C11" s="12" t="s">
        <v>35</v>
      </c>
      <c r="D11" t="s">
        <v>36</v>
      </c>
      <c r="E11">
        <f>E8*E9/E10</f>
        <v>-4.273161267821919</v>
      </c>
      <c r="G11" s="4"/>
      <c r="H11" s="4"/>
      <c r="I11" s="4"/>
    </row>
    <row r="12" spans="4:6" ht="12.75">
      <c r="D12" t="s">
        <v>37</v>
      </c>
      <c r="E12">
        <f>ATAN2(E10,E8*E9)</f>
        <v>1.8006782191542823</v>
      </c>
      <c r="F12" t="str">
        <f>F7</f>
        <v>oikein</v>
      </c>
    </row>
    <row r="13" spans="1:5" ht="12.75">
      <c r="A13" t="s">
        <v>38</v>
      </c>
      <c r="B13">
        <f>YEAR(Calculate!B3)</f>
        <v>2003</v>
      </c>
      <c r="E13">
        <f>E12-B21</f>
        <v>2.6535897932333796E-06</v>
      </c>
    </row>
    <row r="14" spans="1:5" ht="12.75">
      <c r="A14" t="s">
        <v>39</v>
      </c>
      <c r="B14">
        <f>MONTH(Calculate!B3)</f>
        <v>7</v>
      </c>
      <c r="E14">
        <f>TAN(E12)</f>
        <v>-4.273161267821923</v>
      </c>
    </row>
    <row r="15" spans="1:2" ht="12.75">
      <c r="A15" t="s">
        <v>40</v>
      </c>
      <c r="B15">
        <f>DAY(Calculate!B3)</f>
        <v>4</v>
      </c>
    </row>
    <row r="16" spans="4:6" ht="12.75">
      <c r="D16" t="s">
        <v>41</v>
      </c>
      <c r="E16">
        <f>range(280.461*E4+0.9856474*E4*B19)</f>
        <v>1.7818005373994092</v>
      </c>
      <c r="F16" t="str">
        <f>F7</f>
        <v>oikein</v>
      </c>
    </row>
    <row r="17" spans="1:5" ht="12.75">
      <c r="A17" t="s">
        <v>42</v>
      </c>
      <c r="B17">
        <f>JDay(B13,B14,B15)</f>
        <v>2452825</v>
      </c>
      <c r="D17" t="s">
        <v>43</v>
      </c>
      <c r="E17">
        <f>720*(E16-E12)/PI()</f>
        <v>-4.326445966181369</v>
      </c>
    </row>
    <row r="18" spans="1:6" ht="12.75">
      <c r="A18" t="s">
        <v>44</v>
      </c>
      <c r="B18">
        <f>JDay(2000,1,1)</f>
        <v>2451545</v>
      </c>
      <c r="D18" t="s">
        <v>45</v>
      </c>
      <c r="E18">
        <f>1440-E17</f>
        <v>1444.3264459661814</v>
      </c>
      <c r="F18" t="str">
        <f>F7</f>
        <v>oikein</v>
      </c>
    </row>
    <row r="19" spans="1:2" ht="12.75">
      <c r="A19" t="s">
        <v>46</v>
      </c>
      <c r="B19">
        <f>B17-B18</f>
        <v>1280</v>
      </c>
    </row>
    <row r="20" spans="1:2" ht="12.75">
      <c r="A20" t="s">
        <v>36</v>
      </c>
      <c r="B20">
        <f>TAN(B21)</f>
        <v>-4.273212376294673</v>
      </c>
    </row>
    <row r="21" spans="1:4" ht="12.75">
      <c r="A21" t="s">
        <v>37</v>
      </c>
      <c r="B21">
        <f>alpha(B19)</f>
        <v>1.800675565564489</v>
      </c>
      <c r="C21" s="43" t="s">
        <v>47</v>
      </c>
      <c r="D21">
        <f>B21-PI()</f>
        <v>-1.340917088025304</v>
      </c>
    </row>
    <row r="22" spans="1:3" ht="12.75">
      <c r="A22" t="s">
        <v>48</v>
      </c>
      <c r="B22">
        <f>Lambda(B19)</f>
        <v>1.7822946835665907</v>
      </c>
      <c r="C22" t="str">
        <f>F7</f>
        <v>oikein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Sun calculator</dc:title>
  <dc:subject>Sun rising &amp; setting down times</dc:subject>
  <dc:creator>Jarmo Lammi 1997</dc:creator>
  <cp:keywords/>
  <dc:description>All rights reserved
Jarmo Lammi, Tornio Finland
E-mail: jjlammi@netti.fi
</dc:description>
  <cp:lastModifiedBy>ChouinardT</cp:lastModifiedBy>
  <dcterms:created xsi:type="dcterms:W3CDTF">2003-07-03T17:07:57Z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